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077DE291-9FF4-4E21-A243-299859D85BCE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<sst xmlns="http://schemas.openxmlformats.org/spreadsheetml/2006/main" count="285" uniqueCount="200">
  <si>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</si>
  <si>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</si>
  <si>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</si>
  <si>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</si>
  <si>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</si>
  <si>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</si>
  <si>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</si>
  <si>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</si>
  <si>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</si>
  <si>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</si>
  <si>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</si>
  <si>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</si>
  <si>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</si>
  <si>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</si>
  <si>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</si>
  <si>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</si>
  <si>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</si>
  <si>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</si>
  <si>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</si>
  <si>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</si>
  <si>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</si>
  <si>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</si>
  <si>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</si>
  <si>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</si>
  <si>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</si>
  <si>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</si>
  <si>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</si>
  <si>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</si>
  <si>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</si>
  <si>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</si>
  <si>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</si>
  <si>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</si>
  <si>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</si>
  <si>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</si>
  <si>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</si>
  <si>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</si>
  <si>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</si>
  <si>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</si>
  <si>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</si>
  <si>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</si>
  <si>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</si>
  <si>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</si>
  <si>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</si>
  <si>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</si>
  <si>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</si>
  <si>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</si>
  <si>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</si>
  <si>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</si>
  <si>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</si>
  <si>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</si>
  <si>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</si>
  <si>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</si>
  <si>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</si>
  <si>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</si>
  <si>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</si>
  <si>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</si>
  <si>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</si>
  <si>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</si>
  <si>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</si>
  <si>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</si>
  <si>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</si>
  <si>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</si>
  <si>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</si>
  <si>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</si>
  <si>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</si>
  <si>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</si>
  <si>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</si>
  <si>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</si>
  <si>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</si>
  <si>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</si>
  <si>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</si>
  <si>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</si>
  <si>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</si>
  <si>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</si>
  <si>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</si>
  <si>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</si>
  <si>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</si>
  <si>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</si>
  <si>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</si>
  <si>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</si>
  <si>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</si>
  <si>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</si>
  <si>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</si>
  <si>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</si>
  <si>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</si>
  <si>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</si>
  <si>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</si>
  <si>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</si>
  <si>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</si>
  <si>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</si>
  <si>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</si>
  <si>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</si>
  <si>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</si>
  <si>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</si>
  <si>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</si>
  <si>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</si>
  <si>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</si>
  <si>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</si>
  <si>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</si>
  <si>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</si>
  <si>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</si>
  <si>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</si>
  <si>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</si>
  <si>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</si>
  <si>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</si>
  <si>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</si>
  <si>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</si>
  <si>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</si>
  <si>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</si>
  <si>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</si>
  <si>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</si>
  <si>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</si>
  <si>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</si>
  <si>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</si>
  <si>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</si>
  <si>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</si>
  <si>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</si>
  <si>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</si>
  <si>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</si>
  <si>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</si>
  <si>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</si>
  <si>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</si>
  <si>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</si>
  <si>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</si>
  <si>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</si>
  <si>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</si>
  <si>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</si>
  <si>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</si>
  <si>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</si>
  <si>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</si>
  <si>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</si>
  <si>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</si>
  <si>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</si>
  <si>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</si>
  <si>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</si>
  <si>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</si>
  <si>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</si>
  <si>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</si>
  <si>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</si>
  <si>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</si>
  <si>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</si>
  <si>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</si>
  <si>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</si>
  <si>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</si>
  <si>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</si>
  <si>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</si>
  <si>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</si>
  <si>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</si>
  <si>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</si>
  <si>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</si>
  <si>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</si>
  <si>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</si>
  <si>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</si>
  <si>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</si>
  <si>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</si>
  <si>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</si>
  <si>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</si>
  <si>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</si>
  <si>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</si>
  <si>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</si>
  <si>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</si>
  <si>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</si>
  <si>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</si>
  <si>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</si>
  <si>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</si>
  <si>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</si>
  <si>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</si>
  <si>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</si>
  <si>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</si>
  <si>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</si>
  <si>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</si>
  <si>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</si>
  <si>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</si>
  <si>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</si>
  <si>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</si>
  <si>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</si>
  <si>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</si>
  <si>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</si>
  <si>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</si>
  <si>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</si>
  <si>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</si>
  <si>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</si>
  <si>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</si>
  <si>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</si>
  <si>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</si>
  <si>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</si>
  <si>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</si>
  <si>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</si>
  <si>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</si>
  <si>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</si>
  <si>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</si>
  <si>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Oberpframmern</t>
  </si>
  <si>
    <t>Stand: 15.02.2023</t>
  </si>
  <si>
    <t>Die Gemeinde Oberpframmern setzt sich folgende Ziele:</t>
  </si>
  <si>
    <t>Aich</t>
  </si>
  <si>
    <t>Esterndorf</t>
  </si>
  <si>
    <t>Niederpframmern</t>
  </si>
  <si>
    <t>Oberpframmern</t>
  </si>
  <si>
    <t>Orthofen</t>
  </si>
  <si>
    <t>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</si>
</sst>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14516.31</c:v>
                </c:pt>
                <c:pt idx="1">
                  <c:v>13633.507224489798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6294</c:v>
                </c:pt>
                <c:pt idx="1">
                  <c:v>8435.4438392912234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1242.6199999999999</c:v>
                </c:pt>
                <c:pt idx="1">
                  <c:v>1459.8753515767671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3068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18985</c:v>
                </c:pt>
                <c:pt idx="1">
                  <c:v>23528.826415357791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22053</c:v>
                </c:pt>
                <c:pt idx="1">
                  <c:v>23528.826415357791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3036.09</c:v>
                </c:pt>
                <c:pt idx="1">
                  <c:v>2657.9528200947211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7375.59</c:v>
                </c:pt>
                <c:pt idx="1">
                  <c:v>8273.2510566906149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434.84</c:v>
                </c:pt>
                <c:pt idx="1">
                  <c:v>297.66763424955872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6406.561475409836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1916</c:v>
                </c:pt>
                <c:pt idx="1">
                  <c:v>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8938.43</c:v>
                </c:pt>
                <c:pt idx="1">
                  <c:v>15719.432986444732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10854.43</c:v>
                </c:pt>
                <c:pt idx="1">
                  <c:v>17635.432986444732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3143.8865972889462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5646.9183396858707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23.529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22.053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7 %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23528.826415357791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23528.826415357791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23528.826415357791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14516.31</v>
      </c>
      <c r="E78" s="177">
        <f>LOOKUP('Basis-Annahmen'!E5,'Nachfrage &amp; Erzeugung'!D36:G36,'Nachfrage &amp; Erzeugung'!D38:G38)</f>
        <v>13633.507224489798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6294</v>
      </c>
      <c r="E79" s="177">
        <f>LOOKUP('Basis-Annahmen'!E5,'Nachfrage &amp; Erzeugung'!D36:G36,'Nachfrage &amp; Erzeugung'!D39:G39)</f>
        <v>8435.4438392912234</v>
      </c>
      <c r="F79" s="175"/>
      <c r="G79" s="176" t="s">
        <v>55</v>
      </c>
      <c r="H79" s="177">
        <f>'Nachfrage &amp; Erzeugung'!C46</f>
        <v>3068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1242.6199999999999</v>
      </c>
      <c r="E80" s="177">
        <f>LOOKUP('Basis-Annahmen'!E5,'Nachfrage &amp; Erzeugung'!D36:G36,'Nachfrage &amp; Erzeugung'!D40:G40)</f>
        <v>1459.8753515767671</v>
      </c>
      <c r="F80" s="175"/>
      <c r="G80" s="176" t="str">
        <f>'Nachfrage &amp; Erzeugung'!B47</f>
        <v>Nicht erneuerbare Wärmeerzeugung</v>
      </c>
      <c r="H80" s="177">
        <f>MAX(0,H82-H79)</f>
        <v>18985</v>
      </c>
      <c r="I80" s="177">
        <f>MAX(0,I82-I79)</f>
        <v>23528.826415357791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22053</v>
      </c>
      <c r="E82" s="177">
        <f>LOOKUP('Basis-Annahmen'!E5,'Nachfrage &amp; Erzeugung'!D36:G36,'Nachfrage &amp; Erzeugung'!D37:G37)</f>
        <v>23528.826415357791</v>
      </c>
      <c r="F82" s="175"/>
      <c r="G82" s="176" t="s">
        <v>82</v>
      </c>
      <c r="H82" s="177">
        <f>'Nachfrage &amp; Erzeugung'!C37</f>
        <v>22053</v>
      </c>
      <c r="I82" s="177">
        <f>LOOKUP('Basis-Annahmen'!E5,'Nachfrage &amp; Erzeugung'!D36:G36,'Nachfrage &amp; Erzeugung'!D37:G37)</f>
        <v>23528.826415357791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6.6921798184273851E-2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17.635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62 %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36 %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243000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12292.199999999999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0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1916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1916</v>
      </c>
      <c r="G32" s="256"/>
      <c r="H32" s="248">
        <f>SUM(H27:H31)</f>
        <v>255292.2</v>
      </c>
      <c r="I32" s="248"/>
      <c r="J32" s="245">
        <f>IF(H32&gt;0,F32/H32,0)</f>
        <v>7.5051254993297872E-3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3036.09</v>
      </c>
      <c r="E76" s="186">
        <f>LOOKUP('Basis-Annahmen'!E5,'Nachfrage &amp; Erzeugung'!D9:G9,'Nachfrage &amp; Erzeugung'!D11:G11)</f>
        <v>2657.9528200947211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7375.59</v>
      </c>
      <c r="E77" s="186">
        <f>LOOKUP('Basis-Annahmen'!E5,'Nachfrage &amp; Erzeugung'!D9:G9,'Nachfrage &amp; Erzeugung'!D12:G12)</f>
        <v>8273.2510566906149</v>
      </c>
      <c r="F77" s="175"/>
      <c r="G77" s="176" t="s">
        <v>103</v>
      </c>
      <c r="H77" s="186">
        <f>'Nachfrage &amp; Erzeugung'!C21</f>
        <v>1916</v>
      </c>
      <c r="I77" s="186">
        <f>F31</f>
        <v>1916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434.84</v>
      </c>
      <c r="E78" s="186">
        <f>LOOKUP('Basis-Annahmen'!E5,'Nachfrage &amp; Erzeugung'!D9:G9,'Nachfrage &amp; Erzeugung'!D13:G13)</f>
        <v>297.66763424955872</v>
      </c>
      <c r="F78" s="175"/>
      <c r="G78" s="176" t="str">
        <f>'Nachfrage &amp; Erzeugung'!B29</f>
        <v>Nicht aus lokalen EE gedeckter Strombedarf</v>
      </c>
      <c r="H78" s="186">
        <f>'Nachfrage &amp; Erzeugung'!C29</f>
        <v>8938.43</v>
      </c>
      <c r="I78" s="186">
        <f>MAX(0,E82-SUM(I79:I82)-I77)</f>
        <v>15719.432986444732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6406.561475409836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10854.43</v>
      </c>
      <c r="E82" s="186">
        <f>LOOKUP('Basis-Annahmen'!E5,'Nachfrage &amp; Erzeugung'!D9:G9,'Nachfrage &amp; Erzeugung'!D10:G10)</f>
        <v>17635.432986444732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0.62472216288139781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0.36327781009596782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2890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15719.432986444732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3143.8865972889462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1.0878500336639951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23528.826415357791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5646.9183396858707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1.9539509825902668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0.68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8790.8049369748169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3.0418010162542619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3143.8865972889462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5646.9183396858707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1.7193566278424846E-2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2.5513033832501388E-2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2440</v>
      </c>
      <c r="F34" s="69">
        <v>2560</v>
      </c>
      <c r="G34" s="69">
        <v>2670</v>
      </c>
      <c r="H34" s="69">
        <v>2780</v>
      </c>
      <c r="I34" s="70">
        <v>2890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4.9180327868852458E-2</v>
      </c>
      <c r="G36" s="67">
        <f>(G34-F34)/F34</f>
        <v>4.296875E-2</v>
      </c>
      <c r="H36" s="67">
        <f>(H34-G34)/G34</f>
        <v>4.1198501872659173E-2</v>
      </c>
      <c r="I36" s="68">
        <f>(I34-H34)/H34</f>
        <v>3.9568345323741004E-2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51.746938775510202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0.73893442622950822</v>
      </c>
      <c r="F44" s="73">
        <f>E44*(1+(F13*(F43-E43)))</f>
        <v>0.73893442622950822</v>
      </c>
      <c r="G44" s="73">
        <f t="shared" ref="G44:I44" si="0">F44*(1+(G13*(G43-F43)))</f>
        <v>0.73893442622950822</v>
      </c>
      <c r="H44" s="73">
        <f t="shared" si="0"/>
        <v>0.73893442622950822</v>
      </c>
      <c r="I44" s="190">
        <f t="shared" si="0"/>
        <v>0.73893442622950822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1803</v>
      </c>
      <c r="F45" s="36">
        <f>F44*F34</f>
        <v>1891.672131147541</v>
      </c>
      <c r="G45" s="36">
        <f t="shared" ref="G45:I45" si="1">G44*G34</f>
        <v>1972.954918032787</v>
      </c>
      <c r="H45" s="36">
        <f t="shared" si="1"/>
        <v>2054.2377049180327</v>
      </c>
      <c r="I45" s="74">
        <f t="shared" si="1"/>
        <v>2135.5204918032787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31</v>
      </c>
      <c r="F46" s="36">
        <f>F$45*F$14</f>
        <v>94.583606557377053</v>
      </c>
      <c r="G46" s="36">
        <f>G$45*G$14</f>
        <v>591.88647540983607</v>
      </c>
      <c r="H46" s="36">
        <f>H$45*H$14</f>
        <v>1232.5426229508196</v>
      </c>
      <c r="I46" s="74">
        <f>I$45*I$14</f>
        <v>2135.5204918032787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46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10854.43</v>
      </c>
      <c r="D10" s="94">
        <f>D11+D12+D13+D14+D15</f>
        <v>10776.690002662062</v>
      </c>
      <c r="E10" s="94">
        <f>E11+E12+E13+E14+D15</f>
        <v>12495.688629676639</v>
      </c>
      <c r="F10" s="94">
        <f>F11+F12+F13+F14+D15</f>
        <v>14662.490005077849</v>
      </c>
      <c r="G10" s="95">
        <f>G11+G12+G13+G14+D15</f>
        <v>17635.432986444732</v>
      </c>
      <c r="H10" s="14"/>
    </row>
    <row r="11" spans="1:8" ht="19.5" customHeight="1" x14ac:dyDescent="0.2">
      <c r="B11" s="88" t="s">
        <v>6</v>
      </c>
      <c r="C11" s="96">
        <v>3036.09</v>
      </c>
      <c r="D11" s="97">
        <f>C11/'Basis-Annahmen'!E34*((1-'Basis-Annahmen'!F19)^(D9-C9))*'Basis-Annahmen'!F34</f>
        <v>2953.5609187328532</v>
      </c>
      <c r="E11" s="97">
        <f>D11/'Basis-Annahmen'!F34*((1-'Basis-Annahmen'!G19)^5)*'Basis-Annahmen'!G34</f>
        <v>2856.2642318979347</v>
      </c>
      <c r="F11" s="97">
        <f>E11/'Basis-Annahmen'!G34*((1-'Basis-Annahmen'!H19)^5)*'Basis-Annahmen'!H34</f>
        <v>2757.4844269633659</v>
      </c>
      <c r="G11" s="98">
        <f>F11/'Basis-Annahmen'!H34*((1-'Basis-Annahmen'!I19)^5)*'Basis-Annahmen'!I34</f>
        <v>2657.9528200947211</v>
      </c>
      <c r="H11" s="14"/>
    </row>
    <row r="12" spans="1:8" ht="19.5" customHeight="1" x14ac:dyDescent="0.2">
      <c r="B12" s="88" t="s">
        <v>104</v>
      </c>
      <c r="C12" s="96">
        <v>7375.59</v>
      </c>
      <c r="D12" s="97">
        <f>((1-'Basis-Annahmen'!F20)^(D9-C9))*((1+'Basis-Annahmen'!F9)^(D9-C9))*C12</f>
        <v>7165.9663605216892</v>
      </c>
      <c r="E12" s="97">
        <f>((1-'Basis-Annahmen'!G20)^5)*((1+'Basis-Annahmen'!G9)^5)*D12</f>
        <v>7517.5312922259818</v>
      </c>
      <c r="F12" s="97">
        <f>((1-'Basis-Annahmen'!H20)^5)*((1+'Basis-Annahmen'!H9)^5)*E12</f>
        <v>7886.3441281187679</v>
      </c>
      <c r="G12" s="98">
        <f>((1-'Basis-Annahmen'!I20)^5)*((1+'Basis-Annahmen'!I9)^5)*F12</f>
        <v>8273.2510566906149</v>
      </c>
      <c r="H12" s="14"/>
    </row>
    <row r="13" spans="1:8" ht="19.5" customHeight="1" x14ac:dyDescent="0.2">
      <c r="B13" s="88" t="s">
        <v>7</v>
      </c>
      <c r="C13" s="96">
        <v>434.84</v>
      </c>
      <c r="D13" s="97">
        <f>C13*((1-'Basis-Annahmen'!F20)^(D9-C9))</f>
        <v>373.41190373538791</v>
      </c>
      <c r="E13" s="97">
        <f>D13*((1-'Basis-Annahmen'!G20)^5)</f>
        <v>346.23367932321582</v>
      </c>
      <c r="F13" s="97">
        <f>E13*((1-'Basis-Annahmen'!H20)^5)</f>
        <v>321.03358114325363</v>
      </c>
      <c r="G13" s="98">
        <f>F13*((1-'Basis-Annahmen'!I20)^5)</f>
        <v>297.66763424955872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283.75081967213117</v>
      </c>
      <c r="E14" s="97">
        <f>'Basis-Annahmen'!G46*'Basis-Annahmen'!G51+'Basis-Annahmen'!G47*'Basis-Annahmen'!G52</f>
        <v>1775.6594262295082</v>
      </c>
      <c r="F14" s="97">
        <f>'Basis-Annahmen'!H46*'Basis-Annahmen'!H51+'Basis-Annahmen'!H47*'Basis-Annahmen'!H52</f>
        <v>3697.627868852459</v>
      </c>
      <c r="G14" s="98">
        <f>'Basis-Annahmen'!I46*'Basis-Annahmen'!I51+'Basis-Annahmen'!I47*'Basis-Annahmen'!I52</f>
        <v>6406.561475409836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-7.1620524834503417E-3</v>
      </c>
      <c r="E16" s="101">
        <f>(E10-$C$10)/$C$10</f>
        <v>0.15120633968588296</v>
      </c>
      <c r="F16" s="101">
        <f t="shared" ref="F16" si="0">(F10-$C$10)/$C$10</f>
        <v>0.35083003023446174</v>
      </c>
      <c r="G16" s="102">
        <f>(G10-$C$10)/$C$10</f>
        <v>0.62472216288139781</v>
      </c>
      <c r="H16" s="14"/>
    </row>
    <row r="17" spans="1:10" ht="19.5" customHeight="1" x14ac:dyDescent="0.2">
      <c r="B17" s="89" t="s">
        <v>97</v>
      </c>
      <c r="C17" s="107"/>
      <c r="D17" s="104">
        <f>D14/D10</f>
        <v>2.633005306843186E-2</v>
      </c>
      <c r="E17" s="104">
        <f>E14/E10</f>
        <v>0.14210176636543306</v>
      </c>
      <c r="F17" s="104">
        <f>F14/F10</f>
        <v>0.25218280575617869</v>
      </c>
      <c r="G17" s="105">
        <f>G14/G10</f>
        <v>0.36327781009596782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1916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1662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254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8938.43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22053</v>
      </c>
      <c r="D37" s="94">
        <f>SUM(D38:D40)</f>
        <v>22519.785797628309</v>
      </c>
      <c r="E37" s="94">
        <f>SUM(E38:E40)</f>
        <v>22873.098594997773</v>
      </c>
      <c r="F37" s="94">
        <f t="shared" ref="F37:G37" si="1">SUM(F38:F40)</f>
        <v>23179.993883390031</v>
      </c>
      <c r="G37" s="95">
        <f t="shared" si="1"/>
        <v>23528.826415357791</v>
      </c>
      <c r="H37" s="14"/>
    </row>
    <row r="38" spans="1:8" ht="19.5" customHeight="1" x14ac:dyDescent="0.2">
      <c r="A38" s="14"/>
      <c r="B38" s="113" t="s">
        <v>6</v>
      </c>
      <c r="C38" s="96">
        <v>14516.31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14446.969102040815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14232.736775510204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13933.122000000001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13633.507224489798</v>
      </c>
      <c r="H38" s="14"/>
    </row>
    <row r="39" spans="1:8" ht="19.5" customHeight="1" x14ac:dyDescent="0.2">
      <c r="A39" s="14"/>
      <c r="B39" s="113" t="s">
        <v>104</v>
      </c>
      <c r="C39" s="96">
        <v>6294</v>
      </c>
      <c r="D39" s="97">
        <f>C39*((1-'Basis-Annahmen'!F$24)^(D36-C36))*((1+'Basis-Annahmen'!F$9)^(D36-C36))</f>
        <v>6772.079355137982</v>
      </c>
      <c r="E39" s="97">
        <f>((1-'Basis-Annahmen'!G$24)^5)*((1+'Basis-Annahmen'!G$9)^5)*'Nachfrage &amp; Erzeugung'!D39</f>
        <v>7286.4726393845031</v>
      </c>
      <c r="F39" s="97">
        <f>((1-'Basis-Annahmen'!H$24)^5)*((1+'Basis-Annahmen'!H$9)^5)*'Nachfrage &amp; Erzeugung'!E39</f>
        <v>7839.9381844540121</v>
      </c>
      <c r="G39" s="98">
        <f>((1-'Basis-Annahmen'!I$24)^5)*((1+'Basis-Annahmen'!I$9)^5)*'Nachfrage &amp; Erzeugung'!F39</f>
        <v>8435.4438392912234</v>
      </c>
      <c r="H39" s="14"/>
    </row>
    <row r="40" spans="1:8" ht="19.5" customHeight="1" x14ac:dyDescent="0.2">
      <c r="A40" s="14"/>
      <c r="B40" s="113" t="s">
        <v>7</v>
      </c>
      <c r="C40" s="96">
        <v>1242.6199999999999</v>
      </c>
      <c r="D40" s="97">
        <f>C40+(C40*'Basis-Annahmen'!F36)*((1-'Basis-Annahmen'!F24)^(D36-C36))</f>
        <v>1300.7373404495115</v>
      </c>
      <c r="E40" s="97">
        <f>D40+(D40*'Basis-Annahmen'!G36)*((1-'Basis-Annahmen'!G24)^5)</f>
        <v>1353.8891801030647</v>
      </c>
      <c r="F40" s="97">
        <f>E40+(E40*'Basis-Annahmen'!H36)*((1-'Basis-Annahmen'!H24)^5)</f>
        <v>1406.9336989360165</v>
      </c>
      <c r="G40" s="98">
        <f>F40+(F40*'Basis-Annahmen'!I36)*((1-'Basis-Annahmen'!I24)^5)</f>
        <v>1459.8753515767671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2.1166544126799459E-2</v>
      </c>
      <c r="E42" s="104">
        <f>(E37-$C$37)/$C$37</f>
        <v>3.7187620505045711E-2</v>
      </c>
      <c r="F42" s="104">
        <f>(F37-$C$37)/$C$37</f>
        <v>5.1103880804880542E-2</v>
      </c>
      <c r="G42" s="105">
        <f>(G37-$C$37)/$C$37</f>
        <v>6.6921798184273851E-2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3068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18985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0.10975877215543019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2.3779101857539675E-2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9.1376020541093575E-2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0.52187829322801249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4.3529192026594173E-3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0.24885489301526462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243000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27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12292.199999999999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81948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0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0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